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7520" windowHeight="12915" activeTab="1"/>
  </bookViews>
  <sheets>
    <sheet name="filtroR" sheetId="3" r:id="rId1"/>
    <sheet name="filtroL" sheetId="4" r:id="rId2"/>
  </sheets>
  <definedNames>
    <definedName name="_xlnm.Print_Area" localSheetId="1">filtroL!$A$1:$V$40</definedName>
    <definedName name="_xlnm.Print_Area" localSheetId="0">filtroR!$A$1:$P$41</definedName>
  </definedNames>
  <calcPr calcId="145621"/>
</workbook>
</file>

<file path=xl/calcChain.xml><?xml version="1.0" encoding="utf-8"?>
<calcChain xmlns="http://schemas.openxmlformats.org/spreadsheetml/2006/main">
  <c r="Q14" i="4" l="1"/>
  <c r="L7" i="3" l="1"/>
  <c r="K36" i="4"/>
  <c r="K15" i="4"/>
  <c r="K38" i="4"/>
  <c r="T38" i="4" s="1"/>
  <c r="K35" i="4"/>
  <c r="T34" i="4"/>
  <c r="K28" i="4"/>
  <c r="T27" i="4" s="1"/>
  <c r="K25" i="4"/>
  <c r="K26" i="4" s="1"/>
  <c r="T24" i="4"/>
  <c r="K17" i="4"/>
  <c r="S14" i="4" s="1"/>
  <c r="K14" i="4"/>
  <c r="K8" i="4"/>
  <c r="S6" i="4" s="1"/>
  <c r="S5" i="4"/>
  <c r="K5" i="4"/>
  <c r="K6" i="4" s="1"/>
  <c r="L32" i="3"/>
  <c r="R30" i="3" s="1"/>
  <c r="L29" i="3"/>
  <c r="L30" i="3" s="1"/>
  <c r="L31" i="3" s="1"/>
  <c r="L20" i="3"/>
  <c r="L17" i="3"/>
  <c r="L10" i="3"/>
  <c r="L6" i="3"/>
  <c r="L19" i="3" l="1"/>
  <c r="L22" i="3" s="1"/>
  <c r="T28" i="4"/>
  <c r="N28" i="4" s="1"/>
  <c r="L8" i="3"/>
  <c r="O3" i="3" s="1"/>
  <c r="K11" i="3" s="1"/>
  <c r="L18" i="3"/>
  <c r="T26" i="4"/>
  <c r="K7" i="4"/>
  <c r="N5" i="4" s="1"/>
  <c r="Q2" i="4"/>
  <c r="Q5" i="4" s="1"/>
  <c r="K16" i="4"/>
  <c r="N17" i="4" s="1"/>
  <c r="K27" i="4"/>
  <c r="N27" i="4" s="1"/>
  <c r="Q22" i="4" s="1"/>
  <c r="Q25" i="4" s="1"/>
  <c r="Q28" i="4" s="1"/>
  <c r="S13" i="4"/>
  <c r="S16" i="4"/>
  <c r="S17" i="4"/>
  <c r="K37" i="4"/>
  <c r="N37" i="4" s="1"/>
  <c r="Q32" i="4" s="1"/>
  <c r="Q35" i="4" s="1"/>
  <c r="Q38" i="4" s="1"/>
  <c r="T36" i="4"/>
  <c r="T37" i="4"/>
  <c r="L34" i="3"/>
  <c r="O30" i="3"/>
  <c r="O16" i="3"/>
  <c r="R32" i="3"/>
  <c r="Q11" i="4" l="1"/>
  <c r="Q17" i="4" s="1"/>
  <c r="N38" i="4"/>
  <c r="N39" i="4" s="1"/>
  <c r="N40" i="4" s="1"/>
  <c r="Q36" i="4"/>
  <c r="Q37" i="4" s="1"/>
  <c r="O5" i="3"/>
  <c r="O6" i="3" s="1"/>
  <c r="O7" i="3" s="1"/>
  <c r="O31" i="3"/>
  <c r="O32" i="3" s="1"/>
  <c r="K35" i="3" s="1"/>
  <c r="Q3" i="4"/>
  <c r="Q4" i="4" s="1"/>
  <c r="N6" i="4"/>
  <c r="Q26" i="4"/>
  <c r="Q27" i="4" s="1"/>
  <c r="Q33" i="4"/>
  <c r="Q34" i="4" s="1"/>
  <c r="N18" i="4"/>
  <c r="N29" i="4"/>
  <c r="Q23" i="4"/>
  <c r="Q24" i="4" s="1"/>
  <c r="O33" i="3"/>
  <c r="O36" i="3" s="1"/>
  <c r="O39" i="3" s="1"/>
  <c r="O18" i="3"/>
  <c r="O21" i="3" s="1"/>
  <c r="O17" i="3"/>
  <c r="K23" i="3" s="1"/>
  <c r="Q12" i="4" l="1"/>
  <c r="Q13" i="4" s="1"/>
  <c r="Q15" i="4"/>
  <c r="Q16" i="4" s="1"/>
  <c r="N19" i="4"/>
  <c r="Q6" i="4"/>
  <c r="Q7" i="4" s="1"/>
  <c r="N9" i="4"/>
  <c r="Q29" i="4"/>
  <c r="Q30" i="4" s="1"/>
  <c r="N30" i="4"/>
  <c r="Q39" i="4"/>
  <c r="Q40" i="4" s="1"/>
  <c r="O19" i="3"/>
  <c r="O20" i="3" s="1"/>
  <c r="O22" i="3"/>
  <c r="O23" i="3" s="1"/>
  <c r="O40" i="3"/>
  <c r="O41" i="3" s="1"/>
  <c r="O37" i="3"/>
  <c r="O38" i="3" s="1"/>
  <c r="O34" i="3"/>
  <c r="O35" i="3" s="1"/>
  <c r="N20" i="4" l="1"/>
  <c r="Q18" i="4"/>
  <c r="Q19" i="4" s="1"/>
</calcChain>
</file>

<file path=xl/comments1.xml><?xml version="1.0" encoding="utf-8"?>
<comments xmlns="http://schemas.openxmlformats.org/spreadsheetml/2006/main">
  <authors>
    <author>luciano</author>
  </authors>
  <commentList>
    <comment ref="O5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
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Raddrizzamento ad onda intera : 50Hz x 2
Raddrizzamento  a semi onda:  50hZ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
Vr1/Vc1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
Vr2/Vc2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
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
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Raddrizzamento ad onda intera : 50Hz x 2
Raddrizzamento  a semi onda:  50hZ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
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
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
Vr1/Vc1</t>
        </r>
      </text>
    </comment>
    <comment ref="O31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
Vr2/Vc2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>luciano:
Raddrizzamento ad onda intera : 50Hz x 2
Raddrizzamento  a semi onda:  50hZ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
</t>
        </r>
      </text>
    </comment>
    <comment ref="O34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
</t>
        </r>
      </text>
    </comment>
    <comment ref="O36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</t>
        </r>
      </text>
    </comment>
    <comment ref="O37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O38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
</t>
        </r>
      </text>
    </comment>
    <comment ref="O3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O41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</commentList>
</comments>
</file>

<file path=xl/comments2.xml><?xml version="1.0" encoding="utf-8"?>
<comments xmlns="http://schemas.openxmlformats.org/spreadsheetml/2006/main">
  <authors>
    <author>luciano</author>
  </authors>
  <commentList>
    <comment ref="Q2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
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luciano::
tensione efficace di ripple fratto tensione continua.
Vr1/Vc1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continua.
Vr2/Vc2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Raddrizzamento ad onda intera : 50Hz x 2
Raddrizzamento  a semi onda:  50hZ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continua.
Vr1/Vc1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Raddrizzamento ad onda intera : 50Hz x 2
Raddrizzamento  a semi onda:  50hZ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continua.
Vr2/Vc2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continua.
Vr3/Vc3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  <comment ref="Q22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
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Q24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  <comment ref="Q25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continua.
Vr1/Vc1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continua.
Vr2/Vc2</t>
        </r>
      </text>
    </comment>
    <comment ref="Q28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Raddrizzamento ad onda intera : 50Hz x 2
Raddrizzamento  a semi onda:  50hZ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continua.
Vr3/Vc3</t>
        </r>
      </text>
    </comment>
    <comment ref="Q2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Q30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  <comment ref="Q32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</t>
        </r>
      </text>
    </comment>
    <comment ref="Q33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  <comment ref="Q35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</t>
        </r>
      </text>
    </comment>
    <comment ref="Q36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N37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continua.
Vr1/Vc1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  <comment ref="N38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continua.
Vr2/Vc2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continua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Raddrizzamento ad onda intera : 50Hz x 2
Raddrizzamento  a semi onda:  50hZ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 fratto tensione continua.
Vr3/Vc3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di ripple picco-picco</t>
        </r>
      </text>
    </comment>
    <comment ref="Q40" authorId="0">
      <text>
        <r>
          <rPr>
            <b/>
            <sz val="9"/>
            <color indexed="81"/>
            <rFont val="Tahoma"/>
            <family val="2"/>
          </rPr>
          <t>luciano:</t>
        </r>
        <r>
          <rPr>
            <sz val="9"/>
            <color indexed="81"/>
            <rFont val="Tahoma"/>
            <family val="2"/>
          </rPr>
          <t xml:space="preserve">
tensione efficace di ripple</t>
        </r>
      </text>
    </comment>
  </commentList>
</comments>
</file>

<file path=xl/sharedStrings.xml><?xml version="1.0" encoding="utf-8"?>
<sst xmlns="http://schemas.openxmlformats.org/spreadsheetml/2006/main" count="295" uniqueCount="56">
  <si>
    <t>C1=</t>
  </si>
  <si>
    <t>Ic=</t>
  </si>
  <si>
    <t>Vmeff=</t>
  </si>
  <si>
    <t>r1=</t>
  </si>
  <si>
    <t>Rc=</t>
  </si>
  <si>
    <t>mA</t>
  </si>
  <si>
    <t>Volt</t>
  </si>
  <si>
    <t>W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</si>
  <si>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F</t>
    </r>
  </si>
  <si>
    <t>C2=</t>
  </si>
  <si>
    <t>L1=</t>
  </si>
  <si>
    <t>C3=</t>
  </si>
  <si>
    <t>L2=</t>
  </si>
  <si>
    <t>r2=</t>
  </si>
  <si>
    <t>r3=</t>
  </si>
  <si>
    <t>R1=</t>
  </si>
  <si>
    <t>R2=</t>
  </si>
  <si>
    <t>f=</t>
  </si>
  <si>
    <t>Hz</t>
  </si>
  <si>
    <t>w =</t>
  </si>
  <si>
    <t>R1//Rc=</t>
  </si>
  <si>
    <t>Vm=</t>
  </si>
  <si>
    <t>Vm1=</t>
  </si>
  <si>
    <t xml:space="preserve">Fissare il valore di r  (finale) </t>
  </si>
  <si>
    <t>r=</t>
  </si>
  <si>
    <t>(INPUT IN ROSSO)</t>
  </si>
  <si>
    <t xml:space="preserve">R2//Rc= </t>
  </si>
  <si>
    <t>w=</t>
  </si>
  <si>
    <t>RL=</t>
  </si>
  <si>
    <t>mH</t>
  </si>
  <si>
    <t xml:space="preserve">Fissare il valore di r  (in uscita) </t>
  </si>
  <si>
    <t>RL1</t>
  </si>
  <si>
    <t>RL2</t>
  </si>
  <si>
    <r>
      <t>XL2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=</t>
    </r>
  </si>
  <si>
    <r>
      <t>XC2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=</t>
    </r>
  </si>
  <si>
    <r>
      <t>XC3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=</t>
    </r>
  </si>
  <si>
    <r>
      <t>XL1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=</t>
    </r>
  </si>
  <si>
    <t>Vc1=</t>
  </si>
  <si>
    <t>Vrpp=</t>
  </si>
  <si>
    <t>Vr1=</t>
  </si>
  <si>
    <t>Vrpp1=</t>
  </si>
  <si>
    <t>Vc2=</t>
  </si>
  <si>
    <t>Vrpp2=</t>
  </si>
  <si>
    <t>Vr2=</t>
  </si>
  <si>
    <t>Vc3=</t>
  </si>
  <si>
    <t>Vrpp3=</t>
  </si>
  <si>
    <t>Vr3=</t>
  </si>
  <si>
    <t>xc32=</t>
  </si>
  <si>
    <t>xc22=</t>
  </si>
  <si>
    <r>
      <rPr>
        <sz val="11"/>
        <rFont val="Symbol"/>
        <family val="1"/>
        <charset val="2"/>
      </rPr>
      <t>m</t>
    </r>
    <r>
      <rPr>
        <sz val="11"/>
        <rFont val="Calibri"/>
        <family val="2"/>
        <scheme val="minor"/>
      </rPr>
      <t>F</t>
    </r>
  </si>
  <si>
    <r>
      <t>XC2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</si>
  <si>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XL1</t>
    </r>
    <r>
      <rPr>
        <vertAlign val="superscript"/>
        <sz val="11"/>
        <color theme="1"/>
        <rFont val="Calibri"/>
        <family val="2"/>
        <scheme val="minor"/>
      </rPr>
      <t>2</t>
    </r>
  </si>
  <si>
    <r>
      <t>XC3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</si>
  <si>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R2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= </t>
    </r>
  </si>
  <si>
    <r>
      <t>R1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= </t>
    </r>
  </si>
  <si>
    <r>
      <t>XL2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</si>
</sst>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28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theme="3" tint="0.3999755851924192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26"/>
      <color rgb="FFFF0000"/>
      <name val="Calibri"/>
      <family val="2"/>
      <scheme val="minor"/>
    </font>
    <font>
      <sz val="1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4">
    <xf numFmtId="0" fontId="0" fillId="0" borderId="0" xfId="0"/>
    <xf numFmtId="0" fontId="7" fillId="2" borderId="0" xfId="0" applyFont="1" applyFill="1"/>
    <xf numFmtId="0" fontId="1" fillId="2" borderId="0" xfId="0" applyFont="1" applyFill="1"/>
    <xf numFmtId="0" fontId="0" fillId="2" borderId="0" xfId="0" applyFill="1"/>
    <xf numFmtId="0" fontId="15" fillId="2" borderId="0" xfId="0" applyFont="1" applyFill="1"/>
    <xf numFmtId="2" fontId="3" fillId="2" borderId="0" xfId="0" applyNumberFormat="1" applyFont="1" applyFill="1"/>
    <xf numFmtId="2" fontId="0" fillId="2" borderId="0" xfId="0" applyNumberFormat="1" applyFill="1"/>
    <xf numFmtId="2" fontId="7" fillId="2" borderId="0" xfId="0" applyNumberFormat="1" applyFont="1" applyFill="1"/>
    <xf numFmtId="9" fontId="0" fillId="3" borderId="1" xfId="1" applyFont="1" applyFill="1" applyBorder="1"/>
    <xf numFmtId="9" fontId="0" fillId="3" borderId="2" xfId="1" applyFont="1" applyFill="1" applyBorder="1"/>
    <xf numFmtId="9" fontId="0" fillId="3" borderId="3" xfId="1" applyFont="1" applyFill="1" applyBorder="1"/>
    <xf numFmtId="9" fontId="0" fillId="3" borderId="4" xfId="1" applyFont="1" applyFill="1" applyBorder="1"/>
    <xf numFmtId="9" fontId="0" fillId="3" borderId="0" xfId="1" applyFont="1" applyFill="1" applyBorder="1"/>
    <xf numFmtId="1" fontId="1" fillId="3" borderId="0" xfId="1" applyNumberFormat="1" applyFont="1" applyFill="1" applyBorder="1" applyProtection="1">
      <protection locked="0"/>
    </xf>
    <xf numFmtId="9" fontId="14" fillId="3" borderId="0" xfId="1" applyFont="1" applyFill="1" applyBorder="1"/>
    <xf numFmtId="164" fontId="14" fillId="3" borderId="0" xfId="0" applyNumberFormat="1" applyFont="1" applyFill="1" applyBorder="1"/>
    <xf numFmtId="9" fontId="0" fillId="3" borderId="5" xfId="1" applyFont="1" applyFill="1" applyBorder="1"/>
    <xf numFmtId="1" fontId="0" fillId="3" borderId="0" xfId="1" applyNumberFormat="1" applyFont="1" applyFill="1" applyBorder="1"/>
    <xf numFmtId="9" fontId="2" fillId="3" borderId="0" xfId="1" applyFont="1" applyFill="1" applyBorder="1"/>
    <xf numFmtId="9" fontId="1" fillId="3" borderId="0" xfId="1" applyFont="1" applyFill="1" applyBorder="1"/>
    <xf numFmtId="9" fontId="0" fillId="3" borderId="6" xfId="1" applyFont="1" applyFill="1" applyBorder="1"/>
    <xf numFmtId="9" fontId="0" fillId="3" borderId="7" xfId="1" applyFont="1" applyFill="1" applyBorder="1"/>
    <xf numFmtId="9" fontId="0" fillId="3" borderId="8" xfId="1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2" fillId="3" borderId="5" xfId="0" applyFont="1" applyFill="1" applyBorder="1"/>
    <xf numFmtId="164" fontId="0" fillId="3" borderId="0" xfId="0" applyNumberFormat="1" applyFill="1" applyBorder="1"/>
    <xf numFmtId="0" fontId="0" fillId="3" borderId="5" xfId="0" applyFill="1" applyBorder="1"/>
    <xf numFmtId="2" fontId="0" fillId="3" borderId="0" xfId="0" applyNumberFormat="1" applyFill="1" applyBorder="1"/>
    <xf numFmtId="0" fontId="2" fillId="3" borderId="0" xfId="0" applyFont="1" applyFill="1" applyBorder="1"/>
    <xf numFmtId="0" fontId="0" fillId="3" borderId="6" xfId="0" applyFill="1" applyBorder="1"/>
    <xf numFmtId="0" fontId="1" fillId="3" borderId="7" xfId="0" applyFont="1" applyFill="1" applyBorder="1"/>
    <xf numFmtId="2" fontId="0" fillId="3" borderId="7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1" fillId="3" borderId="0" xfId="0" applyFont="1" applyFill="1" applyBorder="1"/>
    <xf numFmtId="2" fontId="15" fillId="2" borderId="0" xfId="0" applyNumberFormat="1" applyFont="1" applyFill="1"/>
    <xf numFmtId="0" fontId="8" fillId="2" borderId="0" xfId="0" applyFont="1" applyFill="1"/>
    <xf numFmtId="1" fontId="8" fillId="2" borderId="0" xfId="0" applyNumberFormat="1" applyFont="1" applyFill="1"/>
    <xf numFmtId="0" fontId="9" fillId="2" borderId="0" xfId="0" applyFont="1" applyFill="1"/>
    <xf numFmtId="1" fontId="9" fillId="2" borderId="0" xfId="0" applyNumberFormat="1" applyFont="1" applyFill="1"/>
    <xf numFmtId="0" fontId="1" fillId="3" borderId="2" xfId="0" applyFont="1" applyFill="1" applyBorder="1" applyProtection="1">
      <protection locked="0"/>
    </xf>
    <xf numFmtId="0" fontId="9" fillId="3" borderId="2" xfId="0" applyFont="1" applyFill="1" applyBorder="1"/>
    <xf numFmtId="2" fontId="0" fillId="3" borderId="2" xfId="0" applyNumberFormat="1" applyFill="1" applyBorder="1"/>
    <xf numFmtId="2" fontId="0" fillId="3" borderId="3" xfId="0" applyNumberFormat="1" applyFill="1" applyBorder="1"/>
    <xf numFmtId="0" fontId="1" fillId="3" borderId="0" xfId="0" applyFont="1" applyFill="1" applyBorder="1" applyProtection="1">
      <protection locked="0"/>
    </xf>
    <xf numFmtId="0" fontId="9" fillId="3" borderId="0" xfId="0" applyFont="1" applyFill="1" applyBorder="1"/>
    <xf numFmtId="2" fontId="0" fillId="3" borderId="5" xfId="0" applyNumberFormat="1" applyFill="1" applyBorder="1"/>
    <xf numFmtId="0" fontId="19" fillId="3" borderId="0" xfId="0" applyFont="1" applyFill="1" applyBorder="1"/>
    <xf numFmtId="0" fontId="16" fillId="3" borderId="0" xfId="0" applyFont="1" applyFill="1" applyBorder="1"/>
    <xf numFmtId="0" fontId="5" fillId="3" borderId="0" xfId="0" applyFont="1" applyFill="1" applyBorder="1"/>
    <xf numFmtId="164" fontId="5" fillId="3" borderId="0" xfId="0" applyNumberFormat="1" applyFont="1" applyFill="1" applyBorder="1"/>
    <xf numFmtId="0" fontId="17" fillId="3" borderId="0" xfId="0" applyFont="1" applyFill="1" applyBorder="1"/>
    <xf numFmtId="0" fontId="2" fillId="3" borderId="4" xfId="0" applyFont="1" applyFill="1" applyBorder="1"/>
    <xf numFmtId="0" fontId="1" fillId="3" borderId="7" xfId="0" applyFont="1" applyFill="1" applyBorder="1" applyProtection="1">
      <protection locked="0"/>
    </xf>
    <xf numFmtId="0" fontId="0" fillId="3" borderId="0" xfId="0" applyFont="1" applyFill="1" applyBorder="1"/>
    <xf numFmtId="0" fontId="7" fillId="3" borderId="0" xfId="0" applyFont="1" applyFill="1" applyBorder="1"/>
    <xf numFmtId="164" fontId="9" fillId="3" borderId="0" xfId="0" applyNumberFormat="1" applyFont="1" applyFill="1" applyBorder="1"/>
    <xf numFmtId="0" fontId="6" fillId="3" borderId="0" xfId="0" applyFont="1" applyFill="1" applyBorder="1"/>
    <xf numFmtId="1" fontId="0" fillId="3" borderId="7" xfId="1" applyNumberFormat="1" applyFont="1" applyFill="1" applyBorder="1"/>
    <xf numFmtId="1" fontId="0" fillId="2" borderId="0" xfId="0" applyNumberFormat="1" applyFill="1"/>
    <xf numFmtId="1" fontId="1" fillId="3" borderId="2" xfId="0" applyNumberFormat="1" applyFont="1" applyFill="1" applyBorder="1" applyProtection="1">
      <protection locked="0"/>
    </xf>
    <xf numFmtId="1" fontId="1" fillId="3" borderId="0" xfId="0" applyNumberFormat="1" applyFont="1" applyFill="1" applyBorder="1" applyProtection="1">
      <protection locked="0"/>
    </xf>
    <xf numFmtId="1" fontId="0" fillId="3" borderId="0" xfId="0" applyNumberFormat="1" applyFill="1" applyBorder="1"/>
    <xf numFmtId="1" fontId="0" fillId="3" borderId="7" xfId="0" applyNumberFormat="1" applyFill="1" applyBorder="1"/>
    <xf numFmtId="1" fontId="7" fillId="2" borderId="0" xfId="0" applyNumberFormat="1" applyFont="1" applyFill="1"/>
    <xf numFmtId="2" fontId="0" fillId="3" borderId="0" xfId="1" applyNumberFormat="1" applyFont="1" applyFill="1" applyBorder="1"/>
    <xf numFmtId="1" fontId="0" fillId="3" borderId="2" xfId="0" applyNumberFormat="1" applyFill="1" applyBorder="1"/>
    <xf numFmtId="0" fontId="4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8" fillId="2" borderId="0" xfId="0" applyFont="1" applyFill="1" applyAlignment="1" applyProtection="1"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428625</xdr:rowOff>
    </xdr:from>
    <xdr:to>
      <xdr:col>8</xdr:col>
      <xdr:colOff>476250</xdr:colOff>
      <xdr:row>40</xdr:row>
      <xdr:rowOff>158749</xdr:rowOff>
    </xdr:to>
    <xdr:pic>
      <xdr:nvPicPr>
        <xdr:cNvPr id="2" name="Immagine 1" descr="filtrifiltr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428625"/>
          <a:ext cx="5092699" cy="8201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428626</xdr:rowOff>
    </xdr:from>
    <xdr:to>
      <xdr:col>8</xdr:col>
      <xdr:colOff>352425</xdr:colOff>
      <xdr:row>39</xdr:row>
      <xdr:rowOff>161925</xdr:rowOff>
    </xdr:to>
    <xdr:pic>
      <xdr:nvPicPr>
        <xdr:cNvPr id="2" name="Immagine 1" descr="filtrifiltri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28626"/>
          <a:ext cx="5229225" cy="825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7"/>
  <sheetViews>
    <sheetView topLeftCell="A16" zoomScaleNormal="100" workbookViewId="0">
      <selection activeCell="M43" sqref="M43"/>
    </sheetView>
  </sheetViews>
  <sheetFormatPr defaultRowHeight="15" x14ac:dyDescent="0.25"/>
  <cols>
    <col min="1" max="11" width="9.140625" style="3"/>
    <col min="12" max="12" width="11" style="3" bestFit="1" customWidth="1"/>
    <col min="13" max="14" width="9.140625" style="3"/>
    <col min="15" max="15" width="14.7109375" style="3" customWidth="1"/>
    <col min="16" max="16" width="9.140625" style="3"/>
    <col min="17" max="19" width="0" style="3" hidden="1" customWidth="1"/>
    <col min="20" max="16384" width="9.140625" style="3"/>
  </cols>
  <sheetData>
    <row r="1" spans="1:16" ht="36.75" thickBot="1" x14ac:dyDescent="0.6">
      <c r="A1" s="2" t="s">
        <v>25</v>
      </c>
      <c r="E1" s="4" t="s">
        <v>23</v>
      </c>
      <c r="L1" s="5" t="s">
        <v>24</v>
      </c>
      <c r="M1" s="71">
        <v>0.02</v>
      </c>
      <c r="N1" s="72"/>
      <c r="O1" s="6"/>
    </row>
    <row r="2" spans="1:16" x14ac:dyDescent="0.25">
      <c r="J2" s="8"/>
      <c r="K2" s="9"/>
      <c r="L2" s="9"/>
      <c r="M2" s="9"/>
      <c r="N2" s="9"/>
      <c r="O2" s="9"/>
      <c r="P2" s="10"/>
    </row>
    <row r="3" spans="1:16" ht="28.5" x14ac:dyDescent="0.45">
      <c r="J3" s="11"/>
      <c r="K3" s="12" t="s">
        <v>0</v>
      </c>
      <c r="L3" s="13">
        <v>7000</v>
      </c>
      <c r="M3" s="12" t="s">
        <v>8</v>
      </c>
      <c r="N3" s="14" t="s">
        <v>3</v>
      </c>
      <c r="O3" s="15">
        <f>2/(L10*L8*(L3/1000000))</f>
        <v>1.6982420816915578E-2</v>
      </c>
      <c r="P3" s="16"/>
    </row>
    <row r="4" spans="1:16" x14ac:dyDescent="0.25">
      <c r="J4" s="11"/>
      <c r="K4" s="12" t="s">
        <v>1</v>
      </c>
      <c r="L4" s="13">
        <v>600</v>
      </c>
      <c r="M4" s="12" t="s">
        <v>5</v>
      </c>
      <c r="N4" s="12"/>
      <c r="O4" s="12"/>
      <c r="P4" s="16"/>
    </row>
    <row r="5" spans="1:16" x14ac:dyDescent="0.25">
      <c r="J5" s="11"/>
      <c r="K5" s="12" t="s">
        <v>2</v>
      </c>
      <c r="L5" s="13">
        <v>12</v>
      </c>
      <c r="M5" s="12" t="s">
        <v>6</v>
      </c>
      <c r="N5" s="12" t="s">
        <v>37</v>
      </c>
      <c r="O5" s="17">
        <f>L7/(1+ O3*SQRT(3))</f>
        <v>15.614702645502982</v>
      </c>
      <c r="P5" s="16" t="s">
        <v>6</v>
      </c>
    </row>
    <row r="6" spans="1:16" x14ac:dyDescent="0.25">
      <c r="J6" s="11"/>
      <c r="K6" s="12" t="s">
        <v>21</v>
      </c>
      <c r="L6" s="17">
        <f>L5*1.41</f>
        <v>16.919999999999998</v>
      </c>
      <c r="M6" s="12" t="s">
        <v>6</v>
      </c>
      <c r="N6" s="12" t="s">
        <v>38</v>
      </c>
      <c r="O6" s="69">
        <f>O3*O5*2*SQRT(3)</f>
        <v>0.91859470899403695</v>
      </c>
      <c r="P6" s="16" t="s">
        <v>6</v>
      </c>
    </row>
    <row r="7" spans="1:16" x14ac:dyDescent="0.25">
      <c r="J7" s="11"/>
      <c r="K7" s="12" t="s">
        <v>22</v>
      </c>
      <c r="L7" s="17">
        <f>L6*0.95</f>
        <v>16.073999999999998</v>
      </c>
      <c r="M7" s="12" t="s">
        <v>6</v>
      </c>
      <c r="N7" s="12" t="s">
        <v>39</v>
      </c>
      <c r="O7" s="69">
        <f>O6/(2*SQRT(3))</f>
        <v>0.26517545125693659</v>
      </c>
      <c r="P7" s="16" t="s">
        <v>6</v>
      </c>
    </row>
    <row r="8" spans="1:16" x14ac:dyDescent="0.25">
      <c r="J8" s="11"/>
      <c r="K8" s="12" t="s">
        <v>4</v>
      </c>
      <c r="L8" s="17">
        <f>L7/(L4/1000)</f>
        <v>26.79</v>
      </c>
      <c r="M8" s="18" t="s">
        <v>7</v>
      </c>
      <c r="N8" s="12"/>
      <c r="O8" s="17"/>
      <c r="P8" s="16"/>
    </row>
    <row r="9" spans="1:16" x14ac:dyDescent="0.25">
      <c r="J9" s="11"/>
      <c r="K9" s="12" t="s">
        <v>17</v>
      </c>
      <c r="L9" s="13">
        <v>100</v>
      </c>
      <c r="M9" s="12" t="s">
        <v>18</v>
      </c>
      <c r="N9" s="12"/>
      <c r="O9" s="12"/>
      <c r="P9" s="16"/>
    </row>
    <row r="10" spans="1:16" x14ac:dyDescent="0.25">
      <c r="J10" s="11"/>
      <c r="K10" s="18" t="s">
        <v>19</v>
      </c>
      <c r="L10" s="17">
        <f>2*3.14*L9</f>
        <v>628</v>
      </c>
      <c r="M10" s="12"/>
      <c r="N10" s="12"/>
      <c r="O10" s="12"/>
      <c r="P10" s="16"/>
    </row>
    <row r="11" spans="1:16" x14ac:dyDescent="0.25">
      <c r="J11" s="11"/>
      <c r="K11" s="19" t="str">
        <f>IF(O3&lt;M1,"OK","CAMBIA IL VALORE DI C1")</f>
        <v>OK</v>
      </c>
      <c r="L11" s="17"/>
      <c r="M11" s="12"/>
      <c r="N11" s="12"/>
      <c r="O11" s="12"/>
      <c r="P11" s="16"/>
    </row>
    <row r="12" spans="1:16" ht="15.75" thickBot="1" x14ac:dyDescent="0.3">
      <c r="J12" s="20"/>
      <c r="K12" s="21"/>
      <c r="L12" s="62"/>
      <c r="M12" s="21"/>
      <c r="N12" s="21"/>
      <c r="O12" s="21"/>
      <c r="P12" s="22"/>
    </row>
    <row r="13" spans="1:16" ht="15.75" thickBot="1" x14ac:dyDescent="0.3">
      <c r="L13" s="63"/>
    </row>
    <row r="14" spans="1:16" x14ac:dyDescent="0.25">
      <c r="J14" s="23"/>
      <c r="K14" s="24" t="s">
        <v>0</v>
      </c>
      <c r="L14" s="64">
        <v>47</v>
      </c>
      <c r="M14" s="24" t="s">
        <v>8</v>
      </c>
      <c r="N14" s="24" t="s">
        <v>9</v>
      </c>
      <c r="O14" s="64">
        <v>47</v>
      </c>
      <c r="P14" s="25" t="s">
        <v>8</v>
      </c>
    </row>
    <row r="15" spans="1:16" x14ac:dyDescent="0.25">
      <c r="J15" s="26"/>
      <c r="K15" s="27" t="s">
        <v>1</v>
      </c>
      <c r="L15" s="65">
        <v>50</v>
      </c>
      <c r="M15" s="27" t="s">
        <v>5</v>
      </c>
      <c r="N15" s="27" t="s">
        <v>15</v>
      </c>
      <c r="O15" s="65">
        <v>1222</v>
      </c>
      <c r="P15" s="28" t="s">
        <v>7</v>
      </c>
    </row>
    <row r="16" spans="1:16" x14ac:dyDescent="0.25">
      <c r="J16" s="26"/>
      <c r="K16" s="27" t="s">
        <v>2</v>
      </c>
      <c r="L16" s="65">
        <v>200</v>
      </c>
      <c r="M16" s="27" t="s">
        <v>6</v>
      </c>
      <c r="N16" s="27" t="s">
        <v>3</v>
      </c>
      <c r="O16" s="29">
        <f>2/(L20*(O15+L19)*(L14/1000000))</f>
        <v>1.0297850920895617E-2</v>
      </c>
      <c r="P16" s="30"/>
    </row>
    <row r="17" spans="10:18" ht="28.5" x14ac:dyDescent="0.45">
      <c r="J17" s="26"/>
      <c r="K17" s="27" t="s">
        <v>21</v>
      </c>
      <c r="L17" s="66">
        <f>L16*1.41</f>
        <v>282</v>
      </c>
      <c r="M17" s="27" t="s">
        <v>6</v>
      </c>
      <c r="N17" s="15" t="s">
        <v>13</v>
      </c>
      <c r="O17" s="15">
        <f>((2/(L20*(O14/1000000)))*O16)/L22</f>
        <v>7.0124709120925044E-4</v>
      </c>
      <c r="P17" s="30"/>
    </row>
    <row r="18" spans="10:18" x14ac:dyDescent="0.25">
      <c r="J18" s="26"/>
      <c r="K18" s="27" t="s">
        <v>22</v>
      </c>
      <c r="L18" s="66">
        <f>L17*0.95</f>
        <v>267.89999999999998</v>
      </c>
      <c r="M18" s="27" t="s">
        <v>6</v>
      </c>
      <c r="N18" s="27" t="s">
        <v>37</v>
      </c>
      <c r="O18" s="66">
        <f>L18/((1+O16*SQRT(3)))</f>
        <v>263.20536358869128</v>
      </c>
      <c r="P18" s="16" t="s">
        <v>6</v>
      </c>
    </row>
    <row r="19" spans="10:18" x14ac:dyDescent="0.25">
      <c r="J19" s="26"/>
      <c r="K19" s="27" t="s">
        <v>4</v>
      </c>
      <c r="L19" s="66">
        <f>L18/(L15/1000)</f>
        <v>5357.9999999999991</v>
      </c>
      <c r="M19" s="32" t="s">
        <v>7</v>
      </c>
      <c r="N19" s="27" t="s">
        <v>40</v>
      </c>
      <c r="O19" s="31">
        <f>O16*O18*2*SQRT(3)</f>
        <v>9.3892728226173094</v>
      </c>
      <c r="P19" s="16" t="s">
        <v>6</v>
      </c>
    </row>
    <row r="20" spans="10:18" x14ac:dyDescent="0.25">
      <c r="J20" s="26"/>
      <c r="K20" s="32" t="s">
        <v>19</v>
      </c>
      <c r="L20" s="66">
        <f>2*3.14*L21</f>
        <v>628</v>
      </c>
      <c r="M20" s="27"/>
      <c r="N20" s="27" t="s">
        <v>39</v>
      </c>
      <c r="O20" s="31">
        <f>O19/(2*SQRT(3))</f>
        <v>2.7104495958164705</v>
      </c>
      <c r="P20" s="16" t="s">
        <v>6</v>
      </c>
    </row>
    <row r="21" spans="10:18" x14ac:dyDescent="0.25">
      <c r="J21" s="26"/>
      <c r="K21" s="27" t="s">
        <v>17</v>
      </c>
      <c r="L21" s="65">
        <v>100</v>
      </c>
      <c r="M21" s="27"/>
      <c r="N21" s="27" t="s">
        <v>41</v>
      </c>
      <c r="O21" s="66">
        <f>(O18*L19)/(L19+O15)</f>
        <v>214.32436749364859</v>
      </c>
      <c r="P21" s="16" t="s">
        <v>6</v>
      </c>
    </row>
    <row r="22" spans="10:18" x14ac:dyDescent="0.25">
      <c r="J22" s="26"/>
      <c r="K22" s="27" t="s">
        <v>20</v>
      </c>
      <c r="L22" s="66">
        <f>1/((1/O15)+(1/L19))</f>
        <v>995.05714285714282</v>
      </c>
      <c r="M22" s="27"/>
      <c r="N22" s="27" t="s">
        <v>42</v>
      </c>
      <c r="O22" s="31">
        <f>O17*O21*2*SQRT(3)</f>
        <v>0.5206348634465453</v>
      </c>
      <c r="P22" s="16" t="s">
        <v>6</v>
      </c>
    </row>
    <row r="23" spans="10:18" ht="15.75" thickBot="1" x14ac:dyDescent="0.3">
      <c r="J23" s="33"/>
      <c r="K23" s="34" t="str">
        <f>IF(O17&lt;M1,"OK","CAMBIA I VALORI DI I C1 E C2")</f>
        <v>OK</v>
      </c>
      <c r="L23" s="67"/>
      <c r="M23" s="36"/>
      <c r="N23" s="36" t="s">
        <v>43</v>
      </c>
      <c r="O23" s="35">
        <f>O22/(2*SQRT(3))</f>
        <v>0.15029433928018349</v>
      </c>
      <c r="P23" s="22" t="s">
        <v>6</v>
      </c>
    </row>
    <row r="24" spans="10:18" ht="15.75" thickBot="1" x14ac:dyDescent="0.3">
      <c r="L24" s="63"/>
      <c r="O24" s="63"/>
    </row>
    <row r="25" spans="10:18" x14ac:dyDescent="0.25">
      <c r="J25" s="23"/>
      <c r="K25" s="24"/>
      <c r="L25" s="70"/>
      <c r="M25" s="24"/>
      <c r="N25" s="24"/>
      <c r="O25" s="70"/>
      <c r="P25" s="25"/>
    </row>
    <row r="26" spans="10:18" x14ac:dyDescent="0.25">
      <c r="J26" s="26"/>
      <c r="K26" s="27" t="s">
        <v>0</v>
      </c>
      <c r="L26" s="65">
        <v>47</v>
      </c>
      <c r="M26" s="27" t="s">
        <v>8</v>
      </c>
      <c r="N26" s="27" t="s">
        <v>9</v>
      </c>
      <c r="O26" s="65">
        <v>47</v>
      </c>
      <c r="P26" s="30" t="s">
        <v>8</v>
      </c>
    </row>
    <row r="27" spans="10:18" x14ac:dyDescent="0.25">
      <c r="J27" s="26"/>
      <c r="K27" s="27" t="s">
        <v>1</v>
      </c>
      <c r="L27" s="65">
        <v>45</v>
      </c>
      <c r="M27" s="27" t="s">
        <v>5</v>
      </c>
      <c r="N27" s="27" t="s">
        <v>11</v>
      </c>
      <c r="O27" s="65">
        <v>47</v>
      </c>
      <c r="P27" s="30" t="s">
        <v>8</v>
      </c>
    </row>
    <row r="28" spans="10:18" x14ac:dyDescent="0.25">
      <c r="J28" s="26"/>
      <c r="K28" s="27" t="s">
        <v>2</v>
      </c>
      <c r="L28" s="65">
        <v>200</v>
      </c>
      <c r="M28" s="27" t="s">
        <v>6</v>
      </c>
      <c r="N28" s="27" t="s">
        <v>15</v>
      </c>
      <c r="O28" s="65">
        <v>1000</v>
      </c>
      <c r="P28" s="28" t="s">
        <v>7</v>
      </c>
    </row>
    <row r="29" spans="10:18" x14ac:dyDescent="0.25">
      <c r="J29" s="26"/>
      <c r="K29" s="27" t="s">
        <v>21</v>
      </c>
      <c r="L29" s="66">
        <f>L28*1.41</f>
        <v>282</v>
      </c>
      <c r="M29" s="27" t="s">
        <v>6</v>
      </c>
      <c r="N29" s="27" t="s">
        <v>16</v>
      </c>
      <c r="O29" s="65">
        <v>1000</v>
      </c>
      <c r="P29" s="28" t="s">
        <v>7</v>
      </c>
    </row>
    <row r="30" spans="10:18" x14ac:dyDescent="0.25">
      <c r="J30" s="26"/>
      <c r="K30" s="27" t="s">
        <v>22</v>
      </c>
      <c r="L30" s="66">
        <f>L29*0.95</f>
        <v>267.89999999999998</v>
      </c>
      <c r="M30" s="27" t="s">
        <v>6</v>
      </c>
      <c r="N30" s="27" t="s">
        <v>3</v>
      </c>
      <c r="O30" s="29">
        <f>2/(L32*(L26/1000000)*(O28+O29+L31))</f>
        <v>8.5196805187962906E-3</v>
      </c>
      <c r="P30" s="30"/>
      <c r="Q30" s="3" t="s">
        <v>47</v>
      </c>
      <c r="R30" s="3">
        <f>(1/(L32*(O27/1000000)))*(1/(L32*(O27/1000000)))</f>
        <v>1147.8496249405946</v>
      </c>
    </row>
    <row r="31" spans="10:18" x14ac:dyDescent="0.25">
      <c r="J31" s="26"/>
      <c r="K31" s="27" t="s">
        <v>4</v>
      </c>
      <c r="L31" s="66">
        <f>L30/(L27/1000)</f>
        <v>5953.333333333333</v>
      </c>
      <c r="M31" s="32" t="s">
        <v>7</v>
      </c>
      <c r="N31" s="27" t="s">
        <v>13</v>
      </c>
      <c r="O31" s="29">
        <f>(((SQRT((O29*O29)+R30))/(SQRT((O28*O28)+R32)))*O30)*(((O28+O29+L31)/(O29+L31)))</f>
        <v>9.7449461734649793E-3</v>
      </c>
      <c r="P31" s="30"/>
    </row>
    <row r="32" spans="10:18" ht="28.5" x14ac:dyDescent="0.45">
      <c r="J32" s="26"/>
      <c r="K32" s="32" t="s">
        <v>19</v>
      </c>
      <c r="L32" s="66">
        <f>2*3.14*L33</f>
        <v>628</v>
      </c>
      <c r="M32" s="27"/>
      <c r="N32" s="15" t="s">
        <v>14</v>
      </c>
      <c r="O32" s="15">
        <f>((((O29+L31)/L31)*O31)*(SQRT(R30)))/(SQRT((O29*O29)+R30))</f>
        <v>3.8539465133908001E-4</v>
      </c>
      <c r="P32" s="30"/>
      <c r="Q32" s="3" t="s">
        <v>48</v>
      </c>
      <c r="R32" s="3">
        <f>(1/(L32*(O26/1000000)))*(1/(L32*(O26/1000000)))</f>
        <v>1147.8496249405946</v>
      </c>
    </row>
    <row r="33" spans="10:16" x14ac:dyDescent="0.25">
      <c r="J33" s="26"/>
      <c r="K33" s="27" t="s">
        <v>17</v>
      </c>
      <c r="L33" s="65">
        <v>100</v>
      </c>
      <c r="M33" s="27"/>
      <c r="N33" s="27" t="s">
        <v>37</v>
      </c>
      <c r="O33" s="66">
        <f>(1/(((SQRT(3))*O30)+1))*L30</f>
        <v>264.00421662329421</v>
      </c>
      <c r="P33" s="30" t="s">
        <v>6</v>
      </c>
    </row>
    <row r="34" spans="10:16" x14ac:dyDescent="0.25">
      <c r="J34" s="26"/>
      <c r="K34" s="27" t="s">
        <v>26</v>
      </c>
      <c r="L34" s="66">
        <f>1/((1/O29)+(1/L31))</f>
        <v>856.18408437200389</v>
      </c>
      <c r="M34" s="27"/>
      <c r="N34" s="27" t="s">
        <v>40</v>
      </c>
      <c r="O34" s="31">
        <f>O30*O33*2*SQRT(3)</f>
        <v>7.7915667534115745</v>
      </c>
      <c r="P34" s="30" t="s">
        <v>6</v>
      </c>
    </row>
    <row r="35" spans="10:16" x14ac:dyDescent="0.25">
      <c r="J35" s="26"/>
      <c r="K35" s="38" t="str">
        <f>IF(O32&lt;M1,"OK","CAMBIA I VALORI DI C1,C2 E C3")</f>
        <v>OK</v>
      </c>
      <c r="L35" s="66"/>
      <c r="M35" s="27"/>
      <c r="N35" s="27" t="s">
        <v>39</v>
      </c>
      <c r="O35" s="31">
        <f>O34/(2*SQRT(3))</f>
        <v>2.2492315812455557</v>
      </c>
      <c r="P35" s="30" t="s">
        <v>6</v>
      </c>
    </row>
    <row r="36" spans="10:16" x14ac:dyDescent="0.25">
      <c r="J36" s="26"/>
      <c r="K36" s="27"/>
      <c r="L36" s="66"/>
      <c r="M36" s="27"/>
      <c r="N36" s="27" t="s">
        <v>41</v>
      </c>
      <c r="O36" s="66">
        <f>O33*(O29+L31)/(O29+O28+L31)</f>
        <v>230.8100569472723</v>
      </c>
      <c r="P36" s="30" t="s">
        <v>6</v>
      </c>
    </row>
    <row r="37" spans="10:16" x14ac:dyDescent="0.25">
      <c r="J37" s="26"/>
      <c r="K37" s="27"/>
      <c r="L37" s="66"/>
      <c r="M37" s="27"/>
      <c r="N37" s="27" t="s">
        <v>42</v>
      </c>
      <c r="O37" s="31">
        <f>O31*2*SQRT(3)*O36</f>
        <v>7.7915667534115736</v>
      </c>
      <c r="P37" s="30" t="s">
        <v>6</v>
      </c>
    </row>
    <row r="38" spans="10:16" x14ac:dyDescent="0.25">
      <c r="J38" s="26"/>
      <c r="K38" s="27"/>
      <c r="L38" s="66"/>
      <c r="M38" s="27"/>
      <c r="N38" s="27" t="s">
        <v>43</v>
      </c>
      <c r="O38" s="31">
        <f>O37/(2*SQRT(3))</f>
        <v>2.2492315812455552</v>
      </c>
      <c r="P38" s="30" t="s">
        <v>6</v>
      </c>
    </row>
    <row r="39" spans="10:16" x14ac:dyDescent="0.25">
      <c r="J39" s="26"/>
      <c r="K39" s="27"/>
      <c r="L39" s="66"/>
      <c r="M39" s="27"/>
      <c r="N39" s="27" t="s">
        <v>44</v>
      </c>
      <c r="O39" s="66">
        <f>(O36*L31)/(O29+L31)</f>
        <v>197.61589727125042</v>
      </c>
      <c r="P39" s="30" t="s">
        <v>6</v>
      </c>
    </row>
    <row r="40" spans="10:16" x14ac:dyDescent="0.25">
      <c r="J40" s="26"/>
      <c r="K40" s="27"/>
      <c r="L40" s="66"/>
      <c r="M40" s="27"/>
      <c r="N40" s="27" t="s">
        <v>45</v>
      </c>
      <c r="O40" s="31">
        <f>O32*2*SQRT(3)*O39</f>
        <v>0.26382635946394223</v>
      </c>
      <c r="P40" s="30" t="s">
        <v>6</v>
      </c>
    </row>
    <row r="41" spans="10:16" ht="15.75" thickBot="1" x14ac:dyDescent="0.3">
      <c r="J41" s="33"/>
      <c r="K41" s="36"/>
      <c r="L41" s="67"/>
      <c r="M41" s="36"/>
      <c r="N41" s="36" t="s">
        <v>46</v>
      </c>
      <c r="O41" s="35">
        <f>O40/(2*SQRT(3))</f>
        <v>7.616010982791302E-2</v>
      </c>
      <c r="P41" s="37" t="s">
        <v>6</v>
      </c>
    </row>
    <row r="42" spans="10:16" s="1" customFormat="1" x14ac:dyDescent="0.25">
      <c r="O42" s="68"/>
    </row>
    <row r="43" spans="10:16" s="1" customFormat="1" x14ac:dyDescent="0.25">
      <c r="O43" s="68"/>
    </row>
    <row r="44" spans="10:16" s="1" customFormat="1" x14ac:dyDescent="0.25"/>
    <row r="45" spans="10:16" s="1" customFormat="1" x14ac:dyDescent="0.25"/>
    <row r="46" spans="10:16" s="1" customFormat="1" x14ac:dyDescent="0.25"/>
    <row r="47" spans="10:16" s="1" customFormat="1" x14ac:dyDescent="0.25"/>
    <row r="48" spans="10:16" s="1" customFormat="1" x14ac:dyDescent="0.25"/>
    <row r="49" spans="13:13" s="1" customFormat="1" x14ac:dyDescent="0.25"/>
    <row r="50" spans="13:13" s="1" customFormat="1" x14ac:dyDescent="0.25"/>
    <row r="51" spans="13:13" s="1" customFormat="1" x14ac:dyDescent="0.25">
      <c r="M51" s="7"/>
    </row>
    <row r="52" spans="13:13" s="1" customFormat="1" x14ac:dyDescent="0.25"/>
    <row r="53" spans="13:13" s="1" customFormat="1" x14ac:dyDescent="0.25"/>
    <row r="54" spans="13:13" s="1" customFormat="1" x14ac:dyDescent="0.25"/>
    <row r="55" spans="13:13" s="1" customFormat="1" x14ac:dyDescent="0.25"/>
    <row r="56" spans="13:13" s="1" customFormat="1" x14ac:dyDescent="0.25"/>
    <row r="57" spans="13:13" s="1" customFormat="1" x14ac:dyDescent="0.25"/>
    <row r="58" spans="13:13" s="1" customFormat="1" x14ac:dyDescent="0.25"/>
    <row r="59" spans="13:13" s="1" customFormat="1" x14ac:dyDescent="0.25"/>
    <row r="60" spans="13:13" s="1" customFormat="1" x14ac:dyDescent="0.25"/>
    <row r="61" spans="13:13" s="1" customFormat="1" x14ac:dyDescent="0.25"/>
    <row r="62" spans="13:13" s="1" customFormat="1" x14ac:dyDescent="0.25"/>
    <row r="63" spans="13:13" s="1" customFormat="1" x14ac:dyDescent="0.25"/>
    <row r="64" spans="13:13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</sheetData>
  <sheetProtection password="CC1E" sheet="1" objects="1" scenarios="1"/>
  <mergeCells count="1">
    <mergeCell ref="M1:N1"/>
  </mergeCells>
  <pageMargins left="0.7" right="0.7" top="0.75" bottom="0.75" header="0.3" footer="0.3"/>
  <pageSetup paperSize="9" scale="56" orientation="portrait" verticalDpi="0" r:id="rId1"/>
  <colBreaks count="1" manualBreakCount="1">
    <brk id="9" max="4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tabSelected="1" topLeftCell="D4" zoomScaleNormal="100" workbookViewId="0">
      <selection activeCell="P17" sqref="P17"/>
    </sheetView>
  </sheetViews>
  <sheetFormatPr defaultRowHeight="15" x14ac:dyDescent="0.25"/>
  <cols>
    <col min="1" max="13" width="9.140625" style="3"/>
    <col min="14" max="14" width="12.5703125" style="3" customWidth="1"/>
    <col min="15" max="18" width="9.140625" style="3"/>
    <col min="19" max="22" width="0" style="3" hidden="1" customWidth="1"/>
    <col min="23" max="16384" width="9.140625" style="3"/>
  </cols>
  <sheetData>
    <row r="1" spans="1:22" ht="34.5" thickBot="1" x14ac:dyDescent="0.55000000000000004">
      <c r="A1" s="2" t="s">
        <v>25</v>
      </c>
      <c r="B1" s="4"/>
      <c r="C1" s="4"/>
      <c r="D1" s="4"/>
      <c r="E1" s="4" t="s">
        <v>30</v>
      </c>
      <c r="F1" s="4"/>
      <c r="G1" s="4"/>
      <c r="H1" s="4"/>
      <c r="I1" s="4"/>
      <c r="J1" s="4"/>
      <c r="K1" s="4"/>
      <c r="L1" s="39" t="s">
        <v>24</v>
      </c>
      <c r="M1" s="73">
        <v>0.02</v>
      </c>
      <c r="N1" s="73"/>
      <c r="O1" s="39"/>
      <c r="P1" s="4"/>
      <c r="Q1" s="4"/>
      <c r="R1" s="4"/>
      <c r="S1" s="4"/>
      <c r="T1" s="4"/>
      <c r="U1" s="4"/>
      <c r="V1" s="4"/>
    </row>
    <row r="2" spans="1:22" x14ac:dyDescent="0.25">
      <c r="J2" s="23" t="s">
        <v>0</v>
      </c>
      <c r="K2" s="44">
        <v>22</v>
      </c>
      <c r="L2" s="24" t="s">
        <v>8</v>
      </c>
      <c r="M2" s="24" t="s">
        <v>9</v>
      </c>
      <c r="N2" s="44">
        <v>22</v>
      </c>
      <c r="O2" s="45" t="s">
        <v>49</v>
      </c>
      <c r="P2" s="24" t="s">
        <v>37</v>
      </c>
      <c r="Q2" s="46">
        <f>K6/((N5*SQRT(3))+1)</f>
        <v>247.58565077841052</v>
      </c>
      <c r="R2" s="47" t="s">
        <v>6</v>
      </c>
    </row>
    <row r="3" spans="1:22" x14ac:dyDescent="0.25">
      <c r="J3" s="26" t="s">
        <v>1</v>
      </c>
      <c r="K3" s="48">
        <v>35</v>
      </c>
      <c r="L3" s="27" t="s">
        <v>5</v>
      </c>
      <c r="M3" s="27" t="s">
        <v>10</v>
      </c>
      <c r="N3" s="48">
        <v>3850</v>
      </c>
      <c r="O3" s="49" t="s">
        <v>29</v>
      </c>
      <c r="P3" s="27" t="s">
        <v>40</v>
      </c>
      <c r="Q3" s="31">
        <f>N5*Q2*2*SQRT(3)</f>
        <v>13.838698443178876</v>
      </c>
      <c r="R3" s="50" t="s">
        <v>6</v>
      </c>
      <c r="S3" s="40"/>
      <c r="T3" s="40"/>
      <c r="U3" s="40"/>
    </row>
    <row r="4" spans="1:22" x14ac:dyDescent="0.25">
      <c r="J4" s="26" t="s">
        <v>2</v>
      </c>
      <c r="K4" s="48">
        <v>190</v>
      </c>
      <c r="L4" s="27" t="s">
        <v>6</v>
      </c>
      <c r="M4" s="27" t="s">
        <v>28</v>
      </c>
      <c r="N4" s="48">
        <v>1700</v>
      </c>
      <c r="O4" s="51" t="s">
        <v>7</v>
      </c>
      <c r="P4" s="27" t="s">
        <v>39</v>
      </c>
      <c r="Q4" s="31">
        <f>Q3/(2*SQRT(3))</f>
        <v>3.9948881357016899</v>
      </c>
      <c r="R4" s="50" t="s">
        <v>6</v>
      </c>
      <c r="S4" s="40"/>
      <c r="T4" s="40"/>
      <c r="U4" s="40"/>
    </row>
    <row r="5" spans="1:22" ht="17.25" x14ac:dyDescent="0.25">
      <c r="J5" s="26" t="s">
        <v>21</v>
      </c>
      <c r="K5" s="27">
        <f>K4*1.41</f>
        <v>267.89999999999998</v>
      </c>
      <c r="L5" s="27" t="s">
        <v>6</v>
      </c>
      <c r="M5" s="27" t="s">
        <v>3</v>
      </c>
      <c r="N5" s="29">
        <f>2/(K8*(K2/1000000)*(N4+K7))</f>
        <v>1.613537829491225E-2</v>
      </c>
      <c r="O5" s="49"/>
      <c r="P5" s="27" t="s">
        <v>41</v>
      </c>
      <c r="Q5" s="31">
        <f>(Q2*K7)/(N4+K7)</f>
        <v>200.67128246798416</v>
      </c>
      <c r="R5" s="50" t="s">
        <v>6</v>
      </c>
      <c r="S5" s="41">
        <f>(K8*(N3/1000)*K8*(N3/1000))</f>
        <v>5845756.8400000008</v>
      </c>
      <c r="T5" s="42" t="s">
        <v>33</v>
      </c>
      <c r="U5" s="40"/>
    </row>
    <row r="6" spans="1:22" ht="23.25" x14ac:dyDescent="0.35">
      <c r="J6" s="26" t="s">
        <v>22</v>
      </c>
      <c r="K6" s="27">
        <f>K5*0.95</f>
        <v>254.50499999999997</v>
      </c>
      <c r="L6" s="52" t="s">
        <v>6</v>
      </c>
      <c r="M6" s="53" t="s">
        <v>13</v>
      </c>
      <c r="N6" s="54">
        <f>((1/(SQRT(S5+S6)))*SQRT(S6)*N5)*((N4+K7)/K7)</f>
        <v>5.9569256992148608E-4</v>
      </c>
      <c r="O6" s="49"/>
      <c r="P6" s="27" t="s">
        <v>42</v>
      </c>
      <c r="Q6" s="31">
        <f>N6*Q5*2*SQRT(3)</f>
        <v>0.41409313666928443</v>
      </c>
      <c r="R6" s="50" t="s">
        <v>6</v>
      </c>
      <c r="S6" s="41">
        <f>1/((K8*N2/1000000)*(K8*N2/1000000))</f>
        <v>5238.8426063920924</v>
      </c>
      <c r="T6" s="42" t="s">
        <v>34</v>
      </c>
      <c r="U6" s="40"/>
    </row>
    <row r="7" spans="1:22" x14ac:dyDescent="0.25">
      <c r="J7" s="26" t="s">
        <v>4</v>
      </c>
      <c r="K7" s="27">
        <f>K6/(K3/1000)</f>
        <v>7271.5714285714266</v>
      </c>
      <c r="L7" s="32" t="s">
        <v>7</v>
      </c>
      <c r="M7" s="27"/>
      <c r="N7" s="27"/>
      <c r="O7" s="55"/>
      <c r="P7" s="27" t="s">
        <v>43</v>
      </c>
      <c r="Q7" s="31">
        <f>Q6/(2*SQRT(3))</f>
        <v>0.11953839196279394</v>
      </c>
      <c r="R7" s="50" t="s">
        <v>6</v>
      </c>
      <c r="S7" s="40"/>
      <c r="T7" s="40"/>
      <c r="U7" s="40"/>
    </row>
    <row r="8" spans="1:22" x14ac:dyDescent="0.25">
      <c r="J8" s="56" t="s">
        <v>27</v>
      </c>
      <c r="K8" s="27">
        <f>2*3.14*K9</f>
        <v>628</v>
      </c>
      <c r="L8" s="27"/>
      <c r="M8" s="38"/>
      <c r="N8" s="27"/>
      <c r="O8" s="27"/>
      <c r="P8" s="27"/>
      <c r="Q8" s="27"/>
      <c r="R8" s="30"/>
      <c r="S8" s="40"/>
      <c r="T8" s="40"/>
      <c r="U8" s="40"/>
    </row>
    <row r="9" spans="1:22" ht="15.75" thickBot="1" x14ac:dyDescent="0.3">
      <c r="J9" s="33" t="s">
        <v>17</v>
      </c>
      <c r="K9" s="57">
        <v>100</v>
      </c>
      <c r="L9" s="36" t="s">
        <v>18</v>
      </c>
      <c r="M9" s="36"/>
      <c r="N9" s="34" t="str">
        <f>IF(N6&lt;=M1,"OK","CAMBIA C1 E C2")</f>
        <v>OK</v>
      </c>
      <c r="O9" s="36"/>
      <c r="P9" s="36"/>
      <c r="Q9" s="36"/>
      <c r="R9" s="37"/>
      <c r="S9" s="40"/>
      <c r="T9" s="43"/>
      <c r="U9" s="40"/>
    </row>
    <row r="10" spans="1:22" ht="15.75" thickBot="1" x14ac:dyDescent="0.3">
      <c r="S10" s="40"/>
      <c r="T10" s="40"/>
      <c r="U10" s="40"/>
    </row>
    <row r="11" spans="1:22" x14ac:dyDescent="0.25">
      <c r="J11" s="23" t="s">
        <v>0</v>
      </c>
      <c r="K11" s="44">
        <v>47</v>
      </c>
      <c r="L11" s="24" t="s">
        <v>8</v>
      </c>
      <c r="M11" s="24" t="s">
        <v>9</v>
      </c>
      <c r="N11" s="44">
        <v>47</v>
      </c>
      <c r="O11" s="24" t="s">
        <v>8</v>
      </c>
      <c r="P11" s="24" t="s">
        <v>37</v>
      </c>
      <c r="Q11" s="46">
        <f>K15/((N17*SQRT(3))+1)</f>
        <v>250.42219185703098</v>
      </c>
      <c r="R11" s="25" t="s">
        <v>6</v>
      </c>
    </row>
    <row r="12" spans="1:22" x14ac:dyDescent="0.25">
      <c r="J12" s="26" t="s">
        <v>1</v>
      </c>
      <c r="K12" s="48">
        <v>67</v>
      </c>
      <c r="L12" s="27" t="s">
        <v>5</v>
      </c>
      <c r="M12" s="27" t="s">
        <v>11</v>
      </c>
      <c r="N12" s="48">
        <v>47</v>
      </c>
      <c r="O12" s="27" t="s">
        <v>8</v>
      </c>
      <c r="P12" s="27" t="s">
        <v>40</v>
      </c>
      <c r="Q12" s="31">
        <f>N17*Q11*2*SQRT(3)</f>
        <v>8.1656162859379613</v>
      </c>
      <c r="R12" s="30" t="s">
        <v>6</v>
      </c>
    </row>
    <row r="13" spans="1:22" ht="17.25" x14ac:dyDescent="0.25">
      <c r="J13" s="26" t="s">
        <v>2</v>
      </c>
      <c r="K13" s="48">
        <v>190</v>
      </c>
      <c r="L13" s="27" t="s">
        <v>6</v>
      </c>
      <c r="M13" s="27" t="s">
        <v>10</v>
      </c>
      <c r="N13" s="48">
        <v>3850</v>
      </c>
      <c r="O13" s="27" t="s">
        <v>29</v>
      </c>
      <c r="P13" s="27" t="s">
        <v>39</v>
      </c>
      <c r="Q13" s="31">
        <f>Q12/(2*SQRT(3))</f>
        <v>2.3572103803927371</v>
      </c>
      <c r="R13" s="30" t="s">
        <v>6</v>
      </c>
      <c r="S13" s="3">
        <f>(K17*(N14/1000))*(K17*(N14/1000))</f>
        <v>5845756.8400000008</v>
      </c>
      <c r="T13" s="42" t="s">
        <v>33</v>
      </c>
    </row>
    <row r="14" spans="1:22" ht="17.25" x14ac:dyDescent="0.25">
      <c r="J14" s="26" t="s">
        <v>21</v>
      </c>
      <c r="K14" s="27">
        <f>K13*1.41</f>
        <v>267.89999999999998</v>
      </c>
      <c r="L14" s="27" t="s">
        <v>6</v>
      </c>
      <c r="M14" s="58" t="s">
        <v>12</v>
      </c>
      <c r="N14" s="48">
        <v>3850</v>
      </c>
      <c r="O14" s="27" t="s">
        <v>29</v>
      </c>
      <c r="P14" s="27" t="s">
        <v>41</v>
      </c>
      <c r="Q14" s="31">
        <f>Q11*((N16+K16)/(N15+N16+K16))</f>
        <v>191.28308350750976</v>
      </c>
      <c r="R14" s="30" t="s">
        <v>6</v>
      </c>
      <c r="S14" s="3">
        <f>1/(K17*N12/1000000)*(1/(K17*N12/1000000))</f>
        <v>1147.8496249405941</v>
      </c>
      <c r="T14" s="42" t="s">
        <v>35</v>
      </c>
    </row>
    <row r="15" spans="1:22" x14ac:dyDescent="0.25">
      <c r="J15" s="26" t="s">
        <v>22</v>
      </c>
      <c r="K15" s="27">
        <f>K14*0.95</f>
        <v>254.50499999999997</v>
      </c>
      <c r="L15" s="27" t="s">
        <v>6</v>
      </c>
      <c r="M15" s="27" t="s">
        <v>31</v>
      </c>
      <c r="N15" s="48">
        <v>1700</v>
      </c>
      <c r="O15" s="32" t="s">
        <v>7</v>
      </c>
      <c r="P15" s="27" t="s">
        <v>42</v>
      </c>
      <c r="Q15" s="31">
        <f>N18*Q14*2*SQRT(3)</f>
        <v>8.1656162859379631</v>
      </c>
      <c r="R15" s="30" t="s">
        <v>6</v>
      </c>
    </row>
    <row r="16" spans="1:22" ht="17.25" x14ac:dyDescent="0.25">
      <c r="J16" s="26" t="s">
        <v>4</v>
      </c>
      <c r="K16" s="27">
        <f>K15/(K12/1000)</f>
        <v>3798.5820895522379</v>
      </c>
      <c r="L16" s="32" t="s">
        <v>7</v>
      </c>
      <c r="M16" s="27" t="s">
        <v>32</v>
      </c>
      <c r="N16" s="48">
        <v>1700</v>
      </c>
      <c r="O16" s="32" t="s">
        <v>7</v>
      </c>
      <c r="P16" s="27" t="s">
        <v>43</v>
      </c>
      <c r="Q16" s="31">
        <f>Q15/(2*SQRT(3))</f>
        <v>2.3572103803927376</v>
      </c>
      <c r="R16" s="30" t="s">
        <v>6</v>
      </c>
      <c r="S16" s="3">
        <f>K17*(N13/1000)*(K17*(N13/1000))</f>
        <v>5845756.8400000008</v>
      </c>
      <c r="T16" s="42" t="s">
        <v>36</v>
      </c>
    </row>
    <row r="17" spans="10:20" ht="17.25" x14ac:dyDescent="0.25">
      <c r="J17" s="56" t="s">
        <v>27</v>
      </c>
      <c r="K17" s="27">
        <f>2*3.14*K18</f>
        <v>628</v>
      </c>
      <c r="L17" s="27"/>
      <c r="M17" s="58" t="s">
        <v>3</v>
      </c>
      <c r="N17" s="29">
        <f>2/(K17*(K11/1000000)*(N15+N16+K16))</f>
        <v>9.4129452462363913E-3</v>
      </c>
      <c r="O17" s="59"/>
      <c r="P17" s="27" t="s">
        <v>44</v>
      </c>
      <c r="Q17" s="31">
        <f>Q14*K16/(N16+K16)</f>
        <v>132.14397515798856</v>
      </c>
      <c r="R17" s="30" t="s">
        <v>6</v>
      </c>
      <c r="S17" s="3">
        <f>1/(K17*N11/1000000)*(1/(K17*N11/1000000))</f>
        <v>1147.8496249405941</v>
      </c>
      <c r="T17" s="42" t="s">
        <v>34</v>
      </c>
    </row>
    <row r="18" spans="10:20" x14ac:dyDescent="0.25">
      <c r="J18" s="26" t="s">
        <v>17</v>
      </c>
      <c r="K18" s="48">
        <v>100</v>
      </c>
      <c r="L18" s="27" t="s">
        <v>18</v>
      </c>
      <c r="M18" s="58" t="s">
        <v>13</v>
      </c>
      <c r="N18" s="60">
        <f>(((SQRT(S13+S14))/(SQRT(S16+S17)))*N17)*((N15+N16+K16)/(N16+K16))</f>
        <v>1.2323151306269034E-2</v>
      </c>
      <c r="O18" s="27"/>
      <c r="P18" s="27" t="s">
        <v>45</v>
      </c>
      <c r="Q18" s="31">
        <f>N19*Q17*2*SQRT(3)</f>
        <v>0.11441117848290536</v>
      </c>
      <c r="R18" s="30" t="s">
        <v>6</v>
      </c>
    </row>
    <row r="19" spans="10:20" ht="23.25" x14ac:dyDescent="0.35">
      <c r="J19" s="26"/>
      <c r="K19" s="38"/>
      <c r="L19" s="27"/>
      <c r="M19" s="61" t="s">
        <v>14</v>
      </c>
      <c r="N19" s="54">
        <f>(((SQRT(S14))/(SQRT(S13+S14)))*N18)*((N16+K16)/K16)</f>
        <v>2.4993695178472333E-4</v>
      </c>
      <c r="O19" s="27"/>
      <c r="P19" s="27" t="s">
        <v>46</v>
      </c>
      <c r="Q19" s="31">
        <f>Q18/(2*SQRT(3))</f>
        <v>3.3027662347703865E-2</v>
      </c>
      <c r="R19" s="30" t="s">
        <v>6</v>
      </c>
    </row>
    <row r="20" spans="10:20" ht="15.75" thickBot="1" x14ac:dyDescent="0.3">
      <c r="J20" s="33"/>
      <c r="K20" s="34"/>
      <c r="L20" s="36"/>
      <c r="M20" s="36"/>
      <c r="N20" s="34" t="str">
        <f>IF(N19&lt;=M1,"OK","CAMBIA C1 E C2")</f>
        <v>OK</v>
      </c>
      <c r="O20" s="36"/>
      <c r="P20" s="36"/>
      <c r="Q20" s="36"/>
      <c r="R20" s="37"/>
    </row>
    <row r="21" spans="10:20" ht="15.75" thickBot="1" x14ac:dyDescent="0.3"/>
    <row r="22" spans="10:20" x14ac:dyDescent="0.25">
      <c r="J22" s="23" t="s">
        <v>0</v>
      </c>
      <c r="K22" s="44">
        <v>47</v>
      </c>
      <c r="L22" s="24" t="s">
        <v>8</v>
      </c>
      <c r="M22" s="24" t="s">
        <v>9</v>
      </c>
      <c r="N22" s="44">
        <v>47</v>
      </c>
      <c r="O22" s="24" t="s">
        <v>8</v>
      </c>
      <c r="P22" s="24" t="s">
        <v>37</v>
      </c>
      <c r="Q22" s="46">
        <f>K26/((N27*SQRT(3))+1)</f>
        <v>210.71397298215635</v>
      </c>
      <c r="R22" s="25" t="s">
        <v>6</v>
      </c>
    </row>
    <row r="23" spans="10:20" x14ac:dyDescent="0.25">
      <c r="J23" s="26" t="s">
        <v>1</v>
      </c>
      <c r="K23" s="48">
        <v>40</v>
      </c>
      <c r="L23" s="27" t="s">
        <v>5</v>
      </c>
      <c r="M23" s="27" t="s">
        <v>11</v>
      </c>
      <c r="N23" s="48">
        <v>47</v>
      </c>
      <c r="O23" s="27" t="s">
        <v>8</v>
      </c>
      <c r="P23" s="27" t="s">
        <v>40</v>
      </c>
      <c r="Q23" s="31">
        <f>N27*Q22*2*SQRT(3)</f>
        <v>7.2120540356873049</v>
      </c>
      <c r="R23" s="30" t="s">
        <v>6</v>
      </c>
    </row>
    <row r="24" spans="10:20" ht="17.25" x14ac:dyDescent="0.25">
      <c r="J24" s="26" t="s">
        <v>2</v>
      </c>
      <c r="K24" s="48">
        <v>160</v>
      </c>
      <c r="L24" s="27" t="s">
        <v>6</v>
      </c>
      <c r="M24" s="27" t="s">
        <v>10</v>
      </c>
      <c r="N24" s="48">
        <v>2000</v>
      </c>
      <c r="O24" s="27" t="s">
        <v>29</v>
      </c>
      <c r="P24" s="27" t="s">
        <v>39</v>
      </c>
      <c r="Q24" s="31">
        <f>Q23/(2*SQRT(3))</f>
        <v>2.0819406694570963</v>
      </c>
      <c r="R24" s="30" t="s">
        <v>6</v>
      </c>
      <c r="S24" s="3" t="s">
        <v>53</v>
      </c>
      <c r="T24" s="3">
        <f>N26*N26</f>
        <v>250000</v>
      </c>
    </row>
    <row r="25" spans="10:20" x14ac:dyDescent="0.25">
      <c r="J25" s="26" t="s">
        <v>21</v>
      </c>
      <c r="K25" s="27">
        <f>K24*1.41</f>
        <v>225.6</v>
      </c>
      <c r="L25" s="27" t="s">
        <v>6</v>
      </c>
      <c r="M25" s="27" t="s">
        <v>31</v>
      </c>
      <c r="N25" s="48">
        <v>1000</v>
      </c>
      <c r="O25" s="32" t="s">
        <v>7</v>
      </c>
      <c r="P25" s="27" t="s">
        <v>41</v>
      </c>
      <c r="Q25" s="31">
        <f>Q22*((N26+K27)/(N25+N26+K27))</f>
        <v>179.98869258230852</v>
      </c>
      <c r="R25" s="30" t="s">
        <v>6</v>
      </c>
    </row>
    <row r="26" spans="10:20" ht="17.25" x14ac:dyDescent="0.25">
      <c r="J26" s="26" t="s">
        <v>22</v>
      </c>
      <c r="K26" s="27">
        <f>K25*0.95</f>
        <v>214.32</v>
      </c>
      <c r="L26" s="27" t="s">
        <v>6</v>
      </c>
      <c r="M26" s="27" t="s">
        <v>16</v>
      </c>
      <c r="N26" s="48">
        <v>500</v>
      </c>
      <c r="O26" s="27"/>
      <c r="P26" s="27" t="s">
        <v>42</v>
      </c>
      <c r="Q26" s="31">
        <f>N28*Q25*2*SQRT(3)</f>
        <v>2.8765777768004677</v>
      </c>
      <c r="R26" s="30" t="s">
        <v>6</v>
      </c>
      <c r="S26" s="3" t="s">
        <v>50</v>
      </c>
      <c r="T26" s="3">
        <f>(1/(K28*N22/1000000))*(1/(K28*N22/1000000))</f>
        <v>1147.8496249405941</v>
      </c>
    </row>
    <row r="27" spans="10:20" ht="17.25" x14ac:dyDescent="0.25">
      <c r="J27" s="26" t="s">
        <v>4</v>
      </c>
      <c r="K27" s="27">
        <f>K26/(K23/1000)</f>
        <v>5358</v>
      </c>
      <c r="L27" s="32" t="s">
        <v>7</v>
      </c>
      <c r="M27" s="27" t="s">
        <v>3</v>
      </c>
      <c r="N27" s="29">
        <f>2/((K28*(K22/1000000))*(N25+N26+K27))</f>
        <v>9.8804110614600718E-3</v>
      </c>
      <c r="O27" s="27"/>
      <c r="P27" s="27" t="s">
        <v>43</v>
      </c>
      <c r="Q27" s="31">
        <f>Q26/(2*SQRT(3))</f>
        <v>0.8303964768903227</v>
      </c>
      <c r="R27" s="30" t="s">
        <v>6</v>
      </c>
      <c r="S27" s="3" t="s">
        <v>52</v>
      </c>
      <c r="T27" s="3">
        <f>(1/(K28*N23/1000000))*(1/(K28*N23/1000000))</f>
        <v>1147.8496249405941</v>
      </c>
    </row>
    <row r="28" spans="10:20" ht="17.25" x14ac:dyDescent="0.25">
      <c r="J28" s="56" t="s">
        <v>27</v>
      </c>
      <c r="K28" s="27">
        <f>2*3.14*K29</f>
        <v>628</v>
      </c>
      <c r="L28" s="27"/>
      <c r="M28" s="27" t="s">
        <v>13</v>
      </c>
      <c r="N28" s="29">
        <f>(((SQRT(T24+T27))/(SQRT(T28+T26)))*N27)*((N25+N26+K27)/(N26+K27))</f>
        <v>4.6136035824060661E-3</v>
      </c>
      <c r="O28" s="59"/>
      <c r="P28" s="27" t="s">
        <v>44</v>
      </c>
      <c r="Q28" s="31">
        <f>Q25*K27/(N26+K27)</f>
        <v>164.62605238238461</v>
      </c>
      <c r="R28" s="30" t="s">
        <v>6</v>
      </c>
      <c r="S28" s="3" t="s">
        <v>51</v>
      </c>
      <c r="T28" s="3">
        <f>(K28*N24/1000)*(K28*N24/1000)</f>
        <v>1577536</v>
      </c>
    </row>
    <row r="29" spans="10:20" ht="23.25" x14ac:dyDescent="0.35">
      <c r="J29" s="26" t="s">
        <v>17</v>
      </c>
      <c r="K29" s="48">
        <v>100</v>
      </c>
      <c r="L29" s="27" t="s">
        <v>18</v>
      </c>
      <c r="M29" s="61" t="s">
        <v>14</v>
      </c>
      <c r="N29" s="54">
        <f>(((1/(SQRT(T24+T27)))*(SQRT(T27)))*N28)*((N26+K27)/K16)</f>
        <v>4.8100090456433417E-4</v>
      </c>
      <c r="O29" s="27"/>
      <c r="P29" s="27" t="s">
        <v>45</v>
      </c>
      <c r="Q29" s="31">
        <f>N29*Q28*2*SQRT(3)</f>
        <v>0.27430585672689706</v>
      </c>
      <c r="R29" s="30" t="s">
        <v>6</v>
      </c>
    </row>
    <row r="30" spans="10:20" ht="15.75" thickBot="1" x14ac:dyDescent="0.3">
      <c r="J30" s="33"/>
      <c r="K30" s="36"/>
      <c r="L30" s="36"/>
      <c r="M30" s="36"/>
      <c r="N30" s="34" t="str">
        <f>IF(N29&lt;=M11,"OK","CAMBIA C1 E C2")</f>
        <v>OK</v>
      </c>
      <c r="O30" s="36"/>
      <c r="P30" s="36" t="s">
        <v>46</v>
      </c>
      <c r="Q30" s="35">
        <f>Q29/(2*SQRT(3))</f>
        <v>7.9185280110782477E-2</v>
      </c>
      <c r="R30" s="37" t="s">
        <v>6</v>
      </c>
    </row>
    <row r="31" spans="10:20" ht="15.75" thickBot="1" x14ac:dyDescent="0.3"/>
    <row r="32" spans="10:20" x14ac:dyDescent="0.25">
      <c r="J32" s="23" t="s">
        <v>0</v>
      </c>
      <c r="K32" s="44">
        <v>47</v>
      </c>
      <c r="L32" s="24" t="s">
        <v>8</v>
      </c>
      <c r="M32" s="24" t="s">
        <v>9</v>
      </c>
      <c r="N32" s="44">
        <v>47</v>
      </c>
      <c r="O32" s="24" t="s">
        <v>8</v>
      </c>
      <c r="P32" s="24" t="s">
        <v>37</v>
      </c>
      <c r="Q32" s="46">
        <f>K36/(1+(N37*SQRT(3)))</f>
        <v>250.2388696090338</v>
      </c>
      <c r="R32" s="25" t="s">
        <v>6</v>
      </c>
    </row>
    <row r="33" spans="10:20" x14ac:dyDescent="0.25">
      <c r="J33" s="26" t="s">
        <v>1</v>
      </c>
      <c r="K33" s="48">
        <v>44</v>
      </c>
      <c r="L33" s="27" t="s">
        <v>5</v>
      </c>
      <c r="M33" s="27" t="s">
        <v>11</v>
      </c>
      <c r="N33" s="48">
        <v>47</v>
      </c>
      <c r="O33" s="27" t="s">
        <v>8</v>
      </c>
      <c r="P33" s="27" t="s">
        <v>40</v>
      </c>
      <c r="Q33" s="31">
        <f>N37*Q32*2*SQRT(3)</f>
        <v>8.5322607819323331</v>
      </c>
      <c r="R33" s="30" t="s">
        <v>6</v>
      </c>
    </row>
    <row r="34" spans="10:20" ht="17.25" x14ac:dyDescent="0.25">
      <c r="J34" s="26" t="s">
        <v>2</v>
      </c>
      <c r="K34" s="48">
        <v>190</v>
      </c>
      <c r="L34" s="27" t="s">
        <v>6</v>
      </c>
      <c r="M34" s="27" t="s">
        <v>12</v>
      </c>
      <c r="N34" s="48">
        <v>5000</v>
      </c>
      <c r="O34" s="27" t="s">
        <v>29</v>
      </c>
      <c r="P34" s="27" t="s">
        <v>39</v>
      </c>
      <c r="Q34" s="31">
        <f>Q33/(2*SQRT(3))</f>
        <v>2.4630515296223598</v>
      </c>
      <c r="R34" s="30" t="s">
        <v>6</v>
      </c>
      <c r="S34" s="3" t="s">
        <v>54</v>
      </c>
      <c r="T34" s="3">
        <f>N36*N36</f>
        <v>160000</v>
      </c>
    </row>
    <row r="35" spans="10:20" x14ac:dyDescent="0.25">
      <c r="J35" s="26" t="s">
        <v>21</v>
      </c>
      <c r="K35" s="27">
        <f>K34*1.41</f>
        <v>267.89999999999998</v>
      </c>
      <c r="L35" s="27" t="s">
        <v>6</v>
      </c>
      <c r="M35" s="27" t="s">
        <v>32</v>
      </c>
      <c r="N35" s="48">
        <v>700</v>
      </c>
      <c r="O35" s="32" t="s">
        <v>7</v>
      </c>
      <c r="P35" s="27" t="s">
        <v>41</v>
      </c>
      <c r="Q35" s="31">
        <f>Q32*((N35+K37)/(N36+N35+K37))</f>
        <v>235.6989838193671</v>
      </c>
      <c r="R35" s="30" t="s">
        <v>6</v>
      </c>
    </row>
    <row r="36" spans="10:20" ht="17.25" x14ac:dyDescent="0.25">
      <c r="J36" s="26" t="s">
        <v>22</v>
      </c>
      <c r="K36" s="27">
        <f>K35*0.95</f>
        <v>254.50499999999997</v>
      </c>
      <c r="L36" s="27" t="s">
        <v>6</v>
      </c>
      <c r="M36" s="27" t="s">
        <v>15</v>
      </c>
      <c r="N36" s="48">
        <v>400</v>
      </c>
      <c r="O36" s="32" t="s">
        <v>7</v>
      </c>
      <c r="P36" s="27" t="s">
        <v>42</v>
      </c>
      <c r="Q36" s="31">
        <f>N38*Q35*2*SQRT(3)</f>
        <v>66.743163926576827</v>
      </c>
      <c r="R36" s="30" t="s">
        <v>6</v>
      </c>
      <c r="S36" s="3" t="s">
        <v>50</v>
      </c>
      <c r="T36" s="3">
        <f>(1/(K38*N32/1000000))*(1/(K38*N32/1000000))</f>
        <v>1147.8496249405941</v>
      </c>
    </row>
    <row r="37" spans="10:20" ht="17.25" x14ac:dyDescent="0.25">
      <c r="J37" s="26" t="s">
        <v>4</v>
      </c>
      <c r="K37" s="27">
        <f>K36/(K33/1000)</f>
        <v>5784.204545454545</v>
      </c>
      <c r="L37" s="32" t="s">
        <v>7</v>
      </c>
      <c r="M37" s="27" t="s">
        <v>3</v>
      </c>
      <c r="N37" s="29">
        <f>2/(K38*(K32/1000000)*(N36+N35+K37))</f>
        <v>9.8428015338726648E-3</v>
      </c>
      <c r="O37" s="27"/>
      <c r="P37" s="27" t="s">
        <v>43</v>
      </c>
      <c r="Q37" s="31">
        <f>Q36/(2*SQRT(3))</f>
        <v>19.267091829788228</v>
      </c>
      <c r="R37" s="30" t="s">
        <v>6</v>
      </c>
      <c r="S37" s="3" t="s">
        <v>52</v>
      </c>
      <c r="T37" s="3">
        <f>(1/(K38*N33/1000000))*(1/(K38*N33/1000000))</f>
        <v>1147.8496249405941</v>
      </c>
    </row>
    <row r="38" spans="10:20" ht="17.25" x14ac:dyDescent="0.25">
      <c r="J38" s="56" t="s">
        <v>27</v>
      </c>
      <c r="K38" s="27">
        <f>2*3.14*K39</f>
        <v>628</v>
      </c>
      <c r="L38" s="27"/>
      <c r="M38" s="27" t="s">
        <v>13</v>
      </c>
      <c r="N38" s="29">
        <f>(((SQRT(T38+T37))/(SQRT(T34+T36)))*N37)*(N36+N35+K37)/(N35+K37)</f>
        <v>8.1744484077003771E-2</v>
      </c>
      <c r="O38" s="59"/>
      <c r="P38" s="27" t="s">
        <v>44</v>
      </c>
      <c r="Q38" s="31">
        <f>Q35*K37/(N35+K37)</f>
        <v>210.25418368745036</v>
      </c>
      <c r="R38" s="30" t="s">
        <v>6</v>
      </c>
      <c r="S38" s="3" t="s">
        <v>55</v>
      </c>
      <c r="T38" s="3">
        <f>(K38*N34/1000)*(K38*N34/1000)</f>
        <v>9859600</v>
      </c>
    </row>
    <row r="39" spans="10:20" ht="23.25" x14ac:dyDescent="0.35">
      <c r="J39" s="26" t="s">
        <v>17</v>
      </c>
      <c r="K39" s="48">
        <v>100</v>
      </c>
      <c r="L39" s="27" t="s">
        <v>18</v>
      </c>
      <c r="M39" s="61" t="s">
        <v>14</v>
      </c>
      <c r="N39" s="54">
        <f>(((1/(SQRT(T38+T37)))*(SQRT(T37)))*N38)*((N35+K37)/K37)</f>
        <v>9.886876120188794E-4</v>
      </c>
      <c r="O39" s="27"/>
      <c r="P39" s="27" t="s">
        <v>45</v>
      </c>
      <c r="Q39" s="31">
        <f>N39*Q38*2*SQRT(3)</f>
        <v>0.72010257162848612</v>
      </c>
      <c r="R39" s="30" t="s">
        <v>6</v>
      </c>
    </row>
    <row r="40" spans="10:20" ht="15.75" thickBot="1" x14ac:dyDescent="0.3">
      <c r="J40" s="33"/>
      <c r="K40" s="36"/>
      <c r="L40" s="36"/>
      <c r="M40" s="36"/>
      <c r="N40" s="34" t="str">
        <f>IF(N39&lt;=M1,"OK","CAMBIA I VALORI DI C1,C2 E C3")</f>
        <v>OK</v>
      </c>
      <c r="O40" s="36"/>
      <c r="P40" s="36" t="s">
        <v>46</v>
      </c>
      <c r="Q40" s="35">
        <f>Q39/2*SQRT(3)</f>
        <v>0.62362712036077228</v>
      </c>
      <c r="R40" s="37" t="s">
        <v>6</v>
      </c>
    </row>
  </sheetData>
  <sheetProtection password="CC1E" sheet="1" objects="1" scenarios="1"/>
  <mergeCells count="1">
    <mergeCell ref="M1:N1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filtroR</vt:lpstr>
      <vt:lpstr>filtroL</vt:lpstr>
      <vt:lpstr>filtroL!Area_stampa</vt:lpstr>
      <vt:lpstr>filtroR!Area_stampa</vt:lpstr>
    </vt:vector>
  </TitlesOfParts>
  <Company>BASTARDS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2014-12-06T11:37:50Z</dcterms:created>
  <dcterms:modified xsi:type="dcterms:W3CDTF">2015-08-29T16:57:27Z</dcterms:modified>
</cp:coreProperties>
</file>